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20" yWindow="135" windowWidth="9420" windowHeight="4500"/>
  </bookViews>
  <sheets>
    <sheet name="Ret. 4ta. Ganancias" sheetId="1" r:id="rId1"/>
  </sheets>
  <calcPr calcId="144525"/>
</workbook>
</file>

<file path=xl/calcChain.xml><?xml version="1.0" encoding="utf-8"?>
<calcChain xmlns="http://schemas.openxmlformats.org/spreadsheetml/2006/main">
  <c r="F51" i="1" l="1"/>
  <c r="F50" i="1"/>
  <c r="E50" i="1"/>
  <c r="D51" i="1" s="1"/>
  <c r="F49" i="1"/>
  <c r="E49" i="1"/>
  <c r="D50" i="1" s="1"/>
  <c r="F48" i="1"/>
  <c r="E48" i="1"/>
  <c r="D49" i="1" s="1"/>
  <c r="F47" i="1"/>
  <c r="E47" i="1"/>
  <c r="D48" i="1" s="1"/>
  <c r="F46" i="1"/>
  <c r="E46" i="1"/>
  <c r="D47" i="1" s="1"/>
  <c r="E45" i="1"/>
  <c r="D46" i="1" s="1"/>
  <c r="E6" i="1" l="1"/>
  <c r="D6" i="1"/>
  <c r="D8" i="1" s="1"/>
  <c r="D9" i="1" s="1"/>
  <c r="F6" i="1"/>
  <c r="G6" i="1"/>
  <c r="H6" i="1"/>
  <c r="I6" i="1"/>
  <c r="J6" i="1"/>
  <c r="K6" i="1"/>
  <c r="L6" i="1"/>
  <c r="M6" i="1"/>
  <c r="N6" i="1"/>
  <c r="O6" i="1"/>
  <c r="O14" i="1"/>
  <c r="N14" i="1"/>
  <c r="M14" i="1"/>
  <c r="L14" i="1"/>
  <c r="K14" i="1"/>
  <c r="J14" i="1"/>
  <c r="I14" i="1"/>
  <c r="H14" i="1"/>
  <c r="G14" i="1"/>
  <c r="F14" i="1"/>
  <c r="E14" i="1"/>
  <c r="D14" i="1"/>
  <c r="N16" i="1"/>
  <c r="N15" i="1"/>
  <c r="M16" i="1"/>
  <c r="M15" i="1"/>
  <c r="L16" i="1"/>
  <c r="L15" i="1"/>
  <c r="K16" i="1"/>
  <c r="K15" i="1"/>
  <c r="J15" i="1"/>
  <c r="J16" i="1"/>
  <c r="I16" i="1"/>
  <c r="I15" i="1"/>
  <c r="H16" i="1"/>
  <c r="H15" i="1"/>
  <c r="G16" i="1"/>
  <c r="G15" i="1"/>
  <c r="F16" i="1"/>
  <c r="F15" i="1"/>
  <c r="E16" i="1"/>
  <c r="E15" i="1"/>
  <c r="D16" i="1"/>
  <c r="D15" i="1"/>
  <c r="O11" i="1"/>
  <c r="N11" i="1"/>
  <c r="M11" i="1"/>
  <c r="L11" i="1"/>
  <c r="K11" i="1"/>
  <c r="J11" i="1"/>
  <c r="I11" i="1"/>
  <c r="H11" i="1"/>
  <c r="G11" i="1"/>
  <c r="F11" i="1"/>
  <c r="E11" i="1"/>
  <c r="D11" i="1"/>
  <c r="O10" i="1"/>
  <c r="N10" i="1"/>
  <c r="M10" i="1"/>
  <c r="L10" i="1"/>
  <c r="K10" i="1"/>
  <c r="J10" i="1"/>
  <c r="I10" i="1"/>
  <c r="H10" i="1"/>
  <c r="G10" i="1"/>
  <c r="F10" i="1"/>
  <c r="E10" i="1"/>
  <c r="D10" i="1"/>
  <c r="O16" i="1"/>
  <c r="O15" i="1"/>
  <c r="F22" i="1"/>
  <c r="F23" i="1" s="1"/>
  <c r="G22" i="1"/>
  <c r="G23" i="1" s="1"/>
  <c r="H22" i="1"/>
  <c r="H23" i="1" s="1"/>
  <c r="I22" i="1"/>
  <c r="I23" i="1" s="1"/>
  <c r="J22" i="1"/>
  <c r="J23" i="1" s="1"/>
  <c r="K22" i="1"/>
  <c r="K23" i="1" s="1"/>
  <c r="L22" i="1"/>
  <c r="L23" i="1" s="1"/>
  <c r="M22" i="1"/>
  <c r="M23" i="1" s="1"/>
  <c r="N22" i="1"/>
  <c r="N23" i="1" s="1"/>
  <c r="O22" i="1"/>
  <c r="O23" i="1" s="1"/>
  <c r="E38" i="1"/>
  <c r="D39" i="1" s="1"/>
  <c r="F39" i="1"/>
  <c r="E37" i="1"/>
  <c r="D38" i="1" s="1"/>
  <c r="F38" i="1"/>
  <c r="E36" i="1"/>
  <c r="D37" i="1" s="1"/>
  <c r="F37" i="1"/>
  <c r="E35" i="1"/>
  <c r="D36" i="1" s="1"/>
  <c r="F36" i="1"/>
  <c r="E34" i="1"/>
  <c r="D35" i="1" s="1"/>
  <c r="F35" i="1"/>
  <c r="E33" i="1"/>
  <c r="D34" i="1" s="1"/>
  <c r="F34" i="1"/>
  <c r="E19" i="1" l="1"/>
  <c r="N19" i="1"/>
  <c r="K19" i="1"/>
  <c r="D21" i="1"/>
  <c r="H19" i="1"/>
  <c r="G19" i="1"/>
  <c r="M19" i="1"/>
  <c r="D19" i="1"/>
  <c r="O19" i="1"/>
  <c r="F19" i="1"/>
  <c r="I19" i="1"/>
  <c r="L19" i="1"/>
  <c r="J19" i="1"/>
  <c r="E8" i="1"/>
  <c r="E9" i="1" s="1"/>
  <c r="E13" i="1" s="1"/>
  <c r="D13" i="1"/>
  <c r="D20" i="1" s="1"/>
  <c r="E20" i="1" l="1"/>
  <c r="E21" i="1" s="1"/>
  <c r="D23" i="1"/>
  <c r="F8" i="1"/>
  <c r="F9" i="1" s="1"/>
  <c r="F13" i="1" s="1"/>
  <c r="F20" i="1" s="1"/>
  <c r="E23" i="1" l="1"/>
  <c r="G8" i="1"/>
  <c r="H8" i="1" s="1"/>
  <c r="G9" i="1" l="1"/>
  <c r="G13" i="1" s="1"/>
  <c r="G20" i="1" s="1"/>
  <c r="I8" i="1"/>
  <c r="H9" i="1"/>
  <c r="H13" i="1" s="1"/>
  <c r="H20" i="1" s="1"/>
  <c r="J8" i="1" l="1"/>
  <c r="I9" i="1"/>
  <c r="I13" i="1" s="1"/>
  <c r="I20" i="1" s="1"/>
  <c r="K8" i="1" l="1"/>
  <c r="J9" i="1"/>
  <c r="J13" i="1" s="1"/>
  <c r="J20" i="1" s="1"/>
  <c r="L8" i="1" l="1"/>
  <c r="K9" i="1"/>
  <c r="K13" i="1" s="1"/>
  <c r="K20" i="1" s="1"/>
  <c r="M8" i="1" l="1"/>
  <c r="L9" i="1"/>
  <c r="L13" i="1" s="1"/>
  <c r="L20" i="1" s="1"/>
  <c r="N8" i="1" l="1"/>
  <c r="M9" i="1"/>
  <c r="M13" i="1" s="1"/>
  <c r="M20" i="1" s="1"/>
  <c r="O8" i="1" l="1"/>
  <c r="N9" i="1"/>
  <c r="N13" i="1" s="1"/>
  <c r="N20" i="1" s="1"/>
  <c r="O9" i="1" l="1"/>
  <c r="O13" i="1" s="1"/>
  <c r="O20" i="1" s="1"/>
</calcChain>
</file>

<file path=xl/comments1.xml><?xml version="1.0" encoding="utf-8"?>
<comments xmlns="http://schemas.openxmlformats.org/spreadsheetml/2006/main">
  <authors>
    <author>CARLA</author>
    <author>SIU</author>
  </authors>
  <commentList>
    <comment ref="B4" authorId="0">
      <text>
        <r>
          <rPr>
            <sz val="11"/>
            <color indexed="81"/>
            <rFont val="Tahoma"/>
            <family val="2"/>
          </rPr>
          <t xml:space="preserve">Los importes brutos que se paguen y que no conforman la remuneración habitual mensual de los beneficiarios (ejemplo: sueldo anual complementario, plus vacacional, gratificaciones extraordinarias, etc.) deberán ser imputados en forma proporcional al mes de pago y a los meses siguientes, hasta
la conclusión del período fiscal. </t>
        </r>
      </text>
    </comment>
    <comment ref="B5" authorId="0">
      <text>
        <r>
          <rPr>
            <sz val="11"/>
            <color indexed="81"/>
            <rFont val="Tahoma"/>
            <family val="2"/>
          </rPr>
          <t>- Aportes para fondos de jubilaciones, retiros, pensiones o subsidios.
- Descuentos destinados a obras sociales del beneficiario y de las personas que revistan para el mismo el carácter de cargas de familia.
- Cuotas sindicales.</t>
        </r>
      </text>
    </comment>
    <comment ref="B9" authorId="0">
      <text>
        <r>
          <rPr>
            <sz val="11"/>
            <color indexed="81"/>
            <rFont val="Tahoma"/>
            <family val="2"/>
          </rPr>
          <t xml:space="preserve">Hasta el 5% de la Ganancia Neta.
</t>
        </r>
      </text>
    </comment>
    <comment ref="B10" authorId="0">
      <text>
        <r>
          <rPr>
            <sz val="11"/>
            <color indexed="81"/>
            <rFont val="Tahoma"/>
            <family val="2"/>
          </rPr>
          <t xml:space="preserve">Tope ANUAL $ 996,23.
</t>
        </r>
      </text>
    </comment>
    <comment ref="B11" authorId="0">
      <text>
        <r>
          <rPr>
            <sz val="11"/>
            <color indexed="81"/>
            <rFont val="Tahoma"/>
            <family val="2"/>
          </rPr>
          <t xml:space="preserve">Tope ANUAL  $ 996,23.
</t>
        </r>
      </text>
    </comment>
    <comment ref="B12" authorId="1">
      <text>
        <r>
          <rPr>
            <sz val="12"/>
            <color indexed="81"/>
            <rFont val="Tahoma"/>
            <family val="2"/>
          </rPr>
          <t>Hasta el 5% de la Ganancia Neta.</t>
        </r>
      </text>
    </comment>
  </commentList>
</comments>
</file>

<file path=xl/sharedStrings.xml><?xml version="1.0" encoding="utf-8"?>
<sst xmlns="http://schemas.openxmlformats.org/spreadsheetml/2006/main" count="65" uniqueCount="54">
  <si>
    <t xml:space="preserve"> RETENCIONES GANANCIAS DE 4ta. CATEGORIA</t>
  </si>
  <si>
    <t>Decreto 394/16 y RG 3831/16</t>
  </si>
  <si>
    <t>AÑO 2016</t>
  </si>
  <si>
    <t xml:space="preserve"> </t>
  </si>
  <si>
    <t>CONCEPTO</t>
  </si>
  <si>
    <t>Cant.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</si>
  <si>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</si>
  <si>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</si>
  <si>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</si>
  <si>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</si>
  <si>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</si>
  <si>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</si>
  <si>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</si>
  <si>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</si>
  <si>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</si>
  <si>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OCTUBRE</t>
  </si>
  <si>
    <t>NOVIEMBRE</t>
  </si>
  <si>
    <t>DICIEMBRE</t>
  </si>
  <si>
    <t>SUELDO BRUTO</t>
  </si>
  <si>
    <t>MENOS:</t>
  </si>
  <si>
    <t>DESCUENTOS</t>
  </si>
  <si>
    <t>SUELDO NETO</t>
  </si>
  <si>
    <t>RETENCION GANANCIAS</t>
  </si>
  <si>
    <t>SUELDOS NETOS ACUM.</t>
  </si>
  <si>
    <t>MEDICINA PREPAGA</t>
  </si>
  <si>
    <t>PRIMA DE SEGURO</t>
  </si>
  <si>
    <t>GASTOS DE SEPELIO</t>
  </si>
  <si>
    <t>GANANCIA NETA</t>
  </si>
  <si>
    <t>ESPOSA</t>
  </si>
  <si>
    <t>HIJOS</t>
  </si>
  <si>
    <t xml:space="preserve">OTRAS </t>
  </si>
  <si>
    <t>M. N. IMP.</t>
  </si>
  <si>
    <t>DEDUCCION ESPECIAL INC.</t>
  </si>
  <si>
    <t>TOTAL DEDUCCIONES</t>
  </si>
  <si>
    <t>GANANCIA SUJETA A IMP.</t>
  </si>
  <si>
    <t>ESCALA DEL MES</t>
  </si>
  <si>
    <t>RETENC. ANTERIORES</t>
  </si>
  <si>
    <t>RETENC. A DEPOSITAR</t>
  </si>
  <si>
    <t>MES</t>
  </si>
  <si>
    <t>GANANCIA IMPONIBLE</t>
  </si>
  <si>
    <t>Pago fijo</t>
  </si>
  <si>
    <t>mas</t>
  </si>
  <si>
    <t>mas de</t>
  </si>
  <si>
    <t>hasta</t>
  </si>
  <si>
    <t>de</t>
  </si>
  <si>
    <t>%</t>
  </si>
  <si>
    <t>en adelante</t>
  </si>
  <si>
    <t>GASTO MÉDICO</t>
  </si>
  <si>
    <t>La "GANANCIA SUJETA A IMP." deberá situarse en la escala que le corresponda, mes a mes. El cálculo es: La DIFERENCIA entre la "GANANCIA SUJETA A IMP:" y el límite inferior de la escala en la que se sitúe multiplicado por la alícuota correspondiente (%) más el Monto Fijo que corresponda.</t>
  </si>
  <si>
    <t>RETENCIÓN = ((GANANCIA NETA SUJETA A IMP.- LÍMITE INFERIOR)*alícuota)+MONTO FIJO</t>
  </si>
  <si>
    <t>mas de (límite inferior)</t>
  </si>
  <si>
    <t>hasta (límite superior)</t>
  </si>
  <si>
    <t>MONTO FIJO</t>
  </si>
  <si>
    <t>ALÍCUOTA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</si>
</sst>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"/>
    <numFmt numFmtId="165" formatCode="#,##0;\(#,##0\)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1"/>
      <name val="Tahoma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rgb="FFFF0000"/>
      <name val="Arial"/>
      <family val="2"/>
    </font>
    <font>
      <sz val="12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Fill="1"/>
    <xf numFmtId="0" fontId="3" fillId="0" borderId="0" xfId="0" applyFont="1" applyFill="1" applyAlignment="1" applyProtection="1"/>
    <xf numFmtId="0" fontId="3" fillId="0" borderId="0" xfId="0" applyFont="1" applyFill="1"/>
    <xf numFmtId="0" fontId="4" fillId="0" borderId="0" xfId="0" applyFont="1" applyFill="1" applyProtection="1"/>
    <xf numFmtId="0" fontId="4" fillId="0" borderId="0" xfId="0" applyFont="1" applyFill="1" applyAlignment="1" applyProtection="1"/>
    <xf numFmtId="0" fontId="4" fillId="0" borderId="0" xfId="0" applyFont="1" applyFill="1"/>
    <xf numFmtId="0" fontId="2" fillId="0" borderId="0" xfId="0" applyFont="1"/>
    <xf numFmtId="0" fontId="5" fillId="0" borderId="0" xfId="0" applyFont="1" applyFill="1"/>
    <xf numFmtId="0" fontId="6" fillId="0" borderId="0" xfId="0" applyFont="1" applyFill="1"/>
    <xf numFmtId="0" fontId="2" fillId="0" borderId="1" xfId="0" applyFont="1" applyBorder="1" applyAlignment="1">
      <alignment horizontal="center"/>
    </xf>
    <xf numFmtId="0" fontId="5" fillId="0" borderId="0" xfId="0" applyFont="1"/>
    <xf numFmtId="0" fontId="4" fillId="2" borderId="2" xfId="0" applyFont="1" applyFill="1" applyBorder="1" applyAlignment="1" applyProtection="1"/>
    <xf numFmtId="0" fontId="4" fillId="2" borderId="3" xfId="0" applyFont="1" applyFill="1" applyBorder="1" applyAlignment="1" applyProtection="1"/>
    <xf numFmtId="0" fontId="4" fillId="0" borderId="0" xfId="0" applyFont="1" applyFill="1" applyBorder="1"/>
    <xf numFmtId="4" fontId="6" fillId="0" borderId="4" xfId="0" applyNumberFormat="1" applyFont="1" applyFill="1" applyBorder="1" applyProtection="1"/>
    <xf numFmtId="164" fontId="6" fillId="0" borderId="0" xfId="0" applyNumberFormat="1" applyFont="1" applyFill="1" applyBorder="1" applyProtection="1"/>
    <xf numFmtId="165" fontId="0" fillId="2" borderId="6" xfId="0" applyNumberFormat="1" applyFill="1" applyBorder="1" applyAlignment="1">
      <alignment horizontal="centerContinuous"/>
    </xf>
    <xf numFmtId="165" fontId="0" fillId="2" borderId="7" xfId="0" applyNumberFormat="1" applyFill="1" applyBorder="1" applyAlignment="1">
      <alignment horizontal="centerContinuous"/>
    </xf>
    <xf numFmtId="165" fontId="0" fillId="2" borderId="8" xfId="0" applyNumberFormat="1" applyFill="1" applyBorder="1" applyAlignment="1">
      <alignment horizontal="center"/>
    </xf>
    <xf numFmtId="4" fontId="6" fillId="0" borderId="9" xfId="0" applyNumberFormat="1" applyFont="1" applyFill="1" applyBorder="1" applyProtection="1"/>
    <xf numFmtId="165" fontId="0" fillId="2" borderId="11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0" borderId="16" xfId="0" applyNumberFormat="1" applyBorder="1"/>
    <xf numFmtId="165" fontId="0" fillId="0" borderId="17" xfId="0" applyNumberFormat="1" applyBorder="1"/>
    <xf numFmtId="4" fontId="0" fillId="0" borderId="18" xfId="0" applyNumberFormat="1" applyBorder="1"/>
    <xf numFmtId="9" fontId="1" fillId="0" borderId="18" xfId="1" applyBorder="1"/>
    <xf numFmtId="164" fontId="4" fillId="0" borderId="0" xfId="0" applyNumberFormat="1" applyFont="1" applyFill="1" applyBorder="1" applyProtection="1"/>
    <xf numFmtId="4" fontId="6" fillId="2" borderId="20" xfId="0" applyNumberFormat="1" applyFont="1" applyFill="1" applyBorder="1" applyProtection="1"/>
    <xf numFmtId="4" fontId="6" fillId="0" borderId="20" xfId="0" applyNumberFormat="1" applyFont="1" applyFill="1" applyBorder="1" applyProtection="1"/>
    <xf numFmtId="4" fontId="6" fillId="0" borderId="18" xfId="0" applyNumberFormat="1" applyFont="1" applyFill="1" applyBorder="1" applyProtection="1"/>
    <xf numFmtId="165" fontId="0" fillId="0" borderId="11" xfId="0" applyNumberFormat="1" applyBorder="1"/>
    <xf numFmtId="165" fontId="0" fillId="0" borderId="12" xfId="0" applyNumberFormat="1" applyBorder="1" applyAlignment="1">
      <alignment horizontal="center"/>
    </xf>
    <xf numFmtId="4" fontId="0" fillId="0" borderId="13" xfId="0" applyNumberFormat="1" applyBorder="1"/>
    <xf numFmtId="9" fontId="1" fillId="0" borderId="13" xfId="1" applyBorder="1"/>
    <xf numFmtId="0" fontId="6" fillId="0" borderId="0" xfId="0" applyFont="1" applyFill="1" applyBorder="1" applyAlignment="1" applyProtection="1"/>
    <xf numFmtId="0" fontId="5" fillId="0" borderId="0" xfId="0" applyFont="1" applyFill="1" applyBorder="1"/>
    <xf numFmtId="4" fontId="6" fillId="0" borderId="0" xfId="0" applyNumberFormat="1" applyFont="1" applyFill="1" applyBorder="1" applyProtection="1"/>
    <xf numFmtId="17" fontId="5" fillId="0" borderId="0" xfId="0" applyNumberFormat="1" applyFont="1" applyAlignment="1">
      <alignment horizontal="left"/>
    </xf>
    <xf numFmtId="4" fontId="4" fillId="2" borderId="22" xfId="0" applyNumberFormat="1" applyFont="1" applyFill="1" applyBorder="1" applyProtection="1"/>
    <xf numFmtId="4" fontId="4" fillId="4" borderId="22" xfId="0" applyNumberFormat="1" applyFont="1" applyFill="1" applyBorder="1" applyProtection="1"/>
    <xf numFmtId="164" fontId="4" fillId="0" borderId="0" xfId="0" applyNumberFormat="1" applyFont="1" applyFill="1" applyBorder="1" applyAlignment="1" applyProtection="1"/>
    <xf numFmtId="17" fontId="2" fillId="0" borderId="23" xfId="0" applyNumberFormat="1" applyFont="1" applyBorder="1" applyAlignment="1">
      <alignment horizontal="left"/>
    </xf>
    <xf numFmtId="0" fontId="2" fillId="4" borderId="23" xfId="0" applyFont="1" applyFill="1" applyBorder="1" applyAlignment="1">
      <alignment horizontal="center"/>
    </xf>
    <xf numFmtId="4" fontId="4" fillId="2" borderId="2" xfId="0" applyNumberFormat="1" applyFont="1" applyFill="1" applyBorder="1" applyProtection="1"/>
    <xf numFmtId="0" fontId="7" fillId="0" borderId="0" xfId="0" applyFont="1"/>
    <xf numFmtId="4" fontId="6" fillId="5" borderId="20" xfId="0" applyNumberFormat="1" applyFont="1" applyFill="1" applyBorder="1" applyProtection="1"/>
    <xf numFmtId="4" fontId="6" fillId="0" borderId="14" xfId="0" applyNumberFormat="1" applyFont="1" applyFill="1" applyBorder="1" applyProtection="1"/>
    <xf numFmtId="0" fontId="9" fillId="0" borderId="0" xfId="0" applyFont="1" applyFill="1"/>
    <xf numFmtId="4" fontId="6" fillId="6" borderId="9" xfId="0" applyNumberFormat="1" applyFont="1" applyFill="1" applyBorder="1" applyProtection="1"/>
    <xf numFmtId="4" fontId="5" fillId="0" borderId="0" xfId="0" applyNumberFormat="1" applyFont="1"/>
    <xf numFmtId="4" fontId="9" fillId="0" borderId="0" xfId="0" applyNumberFormat="1" applyFont="1" applyFill="1" applyBorder="1" applyProtection="1"/>
    <xf numFmtId="4" fontId="6" fillId="7" borderId="9" xfId="0" applyNumberFormat="1" applyFont="1" applyFill="1" applyBorder="1" applyProtection="1"/>
    <xf numFmtId="0" fontId="2" fillId="2" borderId="1" xfId="0" applyFont="1" applyFill="1" applyBorder="1" applyAlignment="1" applyProtection="1"/>
    <xf numFmtId="0" fontId="5" fillId="0" borderId="24" xfId="0" applyFont="1" applyFill="1" applyBorder="1"/>
    <xf numFmtId="0" fontId="2" fillId="0" borderId="25" xfId="0" applyFont="1" applyFill="1" applyBorder="1" applyAlignment="1" applyProtection="1"/>
    <xf numFmtId="0" fontId="2" fillId="0" borderId="25" xfId="0" applyFont="1" applyFill="1" applyBorder="1"/>
    <xf numFmtId="0" fontId="2" fillId="4" borderId="1" xfId="0" applyFont="1" applyFill="1" applyBorder="1" applyAlignment="1" applyProtection="1"/>
    <xf numFmtId="0" fontId="2" fillId="2" borderId="1" xfId="0" applyFont="1" applyFill="1" applyBorder="1"/>
    <xf numFmtId="2" fontId="2" fillId="0" borderId="6" xfId="0" applyNumberFormat="1" applyFont="1" applyFill="1" applyBorder="1"/>
    <xf numFmtId="2" fontId="2" fillId="0" borderId="26" xfId="0" applyNumberFormat="1" applyFont="1" applyFill="1" applyBorder="1"/>
    <xf numFmtId="2" fontId="2" fillId="2" borderId="1" xfId="0" applyNumberFormat="1" applyFont="1" applyFill="1" applyBorder="1"/>
    <xf numFmtId="0" fontId="2" fillId="3" borderId="27" xfId="0" applyFont="1" applyFill="1" applyBorder="1" applyAlignment="1" applyProtection="1"/>
    <xf numFmtId="0" fontId="5" fillId="3" borderId="25" xfId="0" applyFont="1" applyFill="1" applyBorder="1"/>
    <xf numFmtId="0" fontId="6" fillId="3" borderId="25" xfId="0" applyFont="1" applyFill="1" applyBorder="1"/>
    <xf numFmtId="0" fontId="2" fillId="4" borderId="1" xfId="0" applyFont="1" applyFill="1" applyBorder="1"/>
    <xf numFmtId="0" fontId="2" fillId="0" borderId="27" xfId="0" applyFont="1" applyFill="1" applyBorder="1" applyAlignment="1" applyProtection="1"/>
    <xf numFmtId="0" fontId="4" fillId="2" borderId="1" xfId="0" applyFont="1" applyFill="1" applyBorder="1"/>
    <xf numFmtId="0" fontId="6" fillId="0" borderId="24" xfId="0" applyFont="1" applyFill="1" applyBorder="1" applyAlignment="1" applyProtection="1"/>
    <xf numFmtId="0" fontId="6" fillId="0" borderId="25" xfId="0" applyFont="1" applyFill="1" applyBorder="1" applyAlignment="1" applyProtection="1"/>
    <xf numFmtId="0" fontId="4" fillId="4" borderId="1" xfId="0" applyFont="1" applyFill="1" applyBorder="1" applyAlignment="1" applyProtection="1"/>
    <xf numFmtId="0" fontId="4" fillId="2" borderId="1" xfId="0" applyFont="1" applyFill="1" applyBorder="1" applyAlignment="1" applyProtection="1"/>
    <xf numFmtId="0" fontId="6" fillId="0" borderId="27" xfId="0" applyFont="1" applyFill="1" applyBorder="1" applyAlignment="1" applyProtection="1"/>
    <xf numFmtId="0" fontId="6" fillId="5" borderId="27" xfId="0" applyFont="1" applyFill="1" applyBorder="1" applyAlignment="1" applyProtection="1"/>
    <xf numFmtId="0" fontId="6" fillId="7" borderId="25" xfId="0" applyFont="1" applyFill="1" applyBorder="1" applyAlignment="1" applyProtection="1"/>
    <xf numFmtId="0" fontId="6" fillId="8" borderId="25" xfId="0" applyFont="1" applyFill="1" applyBorder="1" applyAlignment="1" applyProtection="1"/>
    <xf numFmtId="4" fontId="6" fillId="8" borderId="9" xfId="0" applyNumberFormat="1" applyFont="1" applyFill="1" applyBorder="1" applyProtection="1"/>
    <xf numFmtId="0" fontId="6" fillId="6" borderId="25" xfId="0" applyFont="1" applyFill="1" applyBorder="1" applyAlignment="1" applyProtection="1"/>
    <xf numFmtId="0" fontId="6" fillId="9" borderId="26" xfId="0" applyFont="1" applyFill="1" applyBorder="1" applyAlignment="1" applyProtection="1"/>
    <xf numFmtId="4" fontId="6" fillId="9" borderId="28" xfId="0" applyNumberFormat="1" applyFont="1" applyFill="1" applyBorder="1" applyProtection="1"/>
    <xf numFmtId="17" fontId="2" fillId="0" borderId="1" xfId="0" applyNumberFormat="1" applyFont="1" applyBorder="1" applyAlignment="1">
      <alignment horizontal="left"/>
    </xf>
    <xf numFmtId="0" fontId="6" fillId="0" borderId="6" xfId="0" applyFont="1" applyFill="1" applyBorder="1" applyAlignment="1" applyProtection="1"/>
    <xf numFmtId="0" fontId="6" fillId="0" borderId="26" xfId="0" applyFont="1" applyFill="1" applyBorder="1" applyAlignment="1" applyProtection="1"/>
    <xf numFmtId="0" fontId="4" fillId="2" borderId="2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6" fillId="0" borderId="29" xfId="0" applyFont="1" applyFill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6" fillId="5" borderId="30" xfId="0" applyFont="1" applyFill="1" applyBorder="1" applyAlignment="1" applyProtection="1">
      <alignment horizontal="center"/>
    </xf>
    <xf numFmtId="0" fontId="6" fillId="7" borderId="29" xfId="0" applyFont="1" applyFill="1" applyBorder="1" applyAlignment="1" applyProtection="1">
      <alignment horizontal="center"/>
    </xf>
    <xf numFmtId="0" fontId="6" fillId="8" borderId="29" xfId="0" applyFont="1" applyFill="1" applyBorder="1" applyAlignment="1" applyProtection="1">
      <alignment horizontal="center"/>
    </xf>
    <xf numFmtId="0" fontId="6" fillId="6" borderId="29" xfId="0" applyFont="1" applyFill="1" applyBorder="1" applyAlignment="1" applyProtection="1">
      <alignment horizontal="center"/>
    </xf>
    <xf numFmtId="0" fontId="6" fillId="9" borderId="18" xfId="0" applyFont="1" applyFill="1" applyBorder="1" applyAlignment="1" applyProtection="1">
      <alignment horizontal="center"/>
    </xf>
    <xf numFmtId="0" fontId="6" fillId="0" borderId="3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31" xfId="0" applyFont="1" applyFill="1" applyBorder="1" applyAlignment="1" applyProtection="1"/>
    <xf numFmtId="0" fontId="6" fillId="0" borderId="32" xfId="0" applyFont="1" applyFill="1" applyBorder="1" applyAlignment="1" applyProtection="1">
      <alignment horizontal="center"/>
    </xf>
    <xf numFmtId="4" fontId="6" fillId="0" borderId="32" xfId="0" applyNumberFormat="1" applyFont="1" applyFill="1" applyBorder="1" applyProtection="1"/>
    <xf numFmtId="4" fontId="10" fillId="0" borderId="0" xfId="0" applyNumberFormat="1" applyFont="1" applyFill="1" applyBorder="1" applyProtection="1"/>
    <xf numFmtId="2" fontId="2" fillId="0" borderId="31" xfId="0" applyNumberFormat="1" applyFont="1" applyFill="1" applyBorder="1"/>
    <xf numFmtId="4" fontId="6" fillId="10" borderId="4" xfId="0" applyNumberFormat="1" applyFont="1" applyFill="1" applyBorder="1" applyProtection="1"/>
    <xf numFmtId="4" fontId="6" fillId="10" borderId="5" xfId="0" applyNumberFormat="1" applyFont="1" applyFill="1" applyBorder="1" applyProtection="1"/>
    <xf numFmtId="4" fontId="6" fillId="10" borderId="9" xfId="0" applyNumberFormat="1" applyFont="1" applyFill="1" applyBorder="1" applyProtection="1"/>
    <xf numFmtId="4" fontId="6" fillId="10" borderId="10" xfId="0" applyNumberFormat="1" applyFont="1" applyFill="1" applyBorder="1" applyProtection="1"/>
    <xf numFmtId="4" fontId="4" fillId="10" borderId="22" xfId="0" applyNumberFormat="1" applyFont="1" applyFill="1" applyBorder="1" applyProtection="1"/>
    <xf numFmtId="4" fontId="4" fillId="10" borderId="3" xfId="0" applyNumberFormat="1" applyFont="1" applyFill="1" applyBorder="1" applyProtection="1"/>
    <xf numFmtId="4" fontId="6" fillId="10" borderId="14" xfId="0" applyNumberFormat="1" applyFont="1" applyFill="1" applyBorder="1" applyProtection="1"/>
    <xf numFmtId="4" fontId="6" fillId="10" borderId="15" xfId="0" applyNumberFormat="1" applyFont="1" applyFill="1" applyBorder="1" applyProtection="1"/>
    <xf numFmtId="4" fontId="6" fillId="10" borderId="18" xfId="0" applyNumberFormat="1" applyFont="1" applyFill="1" applyBorder="1" applyProtection="1"/>
    <xf numFmtId="4" fontId="6" fillId="10" borderId="19" xfId="0" applyNumberFormat="1" applyFont="1" applyFill="1" applyBorder="1" applyProtection="1"/>
    <xf numFmtId="4" fontId="6" fillId="10" borderId="32" xfId="0" applyNumberFormat="1" applyFont="1" applyFill="1" applyBorder="1" applyProtection="1"/>
    <xf numFmtId="4" fontId="6" fillId="10" borderId="33" xfId="0" applyNumberFormat="1" applyFont="1" applyFill="1" applyBorder="1" applyProtection="1"/>
    <xf numFmtId="4" fontId="4" fillId="10" borderId="2" xfId="0" applyNumberFormat="1" applyFont="1" applyFill="1" applyBorder="1" applyProtection="1"/>
    <xf numFmtId="4" fontId="6" fillId="10" borderId="20" xfId="0" applyNumberFormat="1" applyFont="1" applyFill="1" applyBorder="1" applyProtection="1"/>
    <xf numFmtId="4" fontId="6" fillId="10" borderId="21" xfId="0" applyNumberFormat="1" applyFont="1" applyFill="1" applyBorder="1" applyProtection="1"/>
    <xf numFmtId="4" fontId="6" fillId="10" borderId="28" xfId="0" applyNumberFormat="1" applyFont="1" applyFill="1" applyBorder="1" applyProtection="1"/>
    <xf numFmtId="0" fontId="4" fillId="0" borderId="0" xfId="0" applyFont="1" applyFill="1" applyBorder="1" applyAlignment="1" applyProtection="1"/>
    <xf numFmtId="4" fontId="4" fillId="0" borderId="0" xfId="0" applyNumberFormat="1" applyFont="1" applyFill="1" applyBorder="1" applyProtection="1"/>
    <xf numFmtId="0" fontId="11" fillId="0" borderId="0" xfId="0" applyFont="1" applyFill="1" applyBorder="1" applyAlignment="1" applyProtection="1"/>
    <xf numFmtId="4" fontId="11" fillId="0" borderId="0" xfId="0" applyNumberFormat="1" applyFont="1" applyFill="1" applyBorder="1" applyProtection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1"/>
  <sheetViews>
    <sheetView tabSelected="1" topLeftCell="A19" zoomScale="75" workbookViewId="0">
      <selection activeCell="B34" sqref="B34"/>
    </sheetView>
  </sheetViews>
  <sheetFormatPr baseColWidth="10" defaultColWidth="11" defaultRowHeight="20.100000000000001" customHeight="1" x14ac:dyDescent="0.2"/>
  <cols>
    <col min="1" max="1" width="18.28515625" style="8" customWidth="1"/>
    <col min="2" max="2" width="29.42578125" style="11" customWidth="1"/>
    <col min="3" max="3" width="9.28515625" style="11" customWidth="1"/>
    <col min="4" max="4" width="20.140625" style="11" bestFit="1" customWidth="1"/>
    <col min="5" max="5" width="20.7109375" style="11" customWidth="1"/>
    <col min="6" max="6" width="17.28515625" style="11" customWidth="1"/>
    <col min="7" max="7" width="14.42578125" style="11" customWidth="1"/>
    <col min="8" max="8" width="17.5703125" style="11" customWidth="1"/>
    <col min="9" max="11" width="14.5703125" style="11" bestFit="1" customWidth="1"/>
    <col min="12" max="14" width="15" style="11" bestFit="1" customWidth="1"/>
    <col min="15" max="15" width="18.85546875" style="11" customWidth="1"/>
    <col min="16" max="16" width="10.42578125" style="11" customWidth="1"/>
    <col min="17" max="16384" width="11" style="11"/>
  </cols>
  <sheetData>
    <row r="1" spans="1:17" s="7" customFormat="1" ht="20.100000000000001" customHeight="1" x14ac:dyDescent="0.25">
      <c r="A1" s="1"/>
      <c r="B1" s="2" t="s">
        <v>0</v>
      </c>
      <c r="C1" s="2"/>
      <c r="D1" s="3"/>
      <c r="E1" s="3"/>
      <c r="F1" s="3"/>
      <c r="G1" s="3" t="s">
        <v>1</v>
      </c>
      <c r="H1" s="3"/>
      <c r="I1" s="4"/>
      <c r="J1" s="5"/>
      <c r="K1" s="6"/>
      <c r="L1" s="6"/>
      <c r="M1" s="49" t="s">
        <v>2</v>
      </c>
      <c r="N1" s="6"/>
      <c r="O1" s="5" t="s">
        <v>3</v>
      </c>
      <c r="P1" s="6"/>
    </row>
    <row r="2" spans="1:17" ht="11.25" customHeight="1" thickBot="1" x14ac:dyDescent="0.2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7" s="7" customFormat="1" ht="20.100000000000001" customHeight="1" thickBot="1" x14ac:dyDescent="0.25">
      <c r="A3" s="54"/>
      <c r="B3" s="72" t="s">
        <v>4</v>
      </c>
      <c r="C3" s="84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 t="s">
        <v>15</v>
      </c>
      <c r="N3" s="12" t="s">
        <v>16</v>
      </c>
      <c r="O3" s="13" t="s">
        <v>17</v>
      </c>
      <c r="P3" s="14"/>
    </row>
    <row r="4" spans="1:17" ht="20.100000000000001" customHeight="1" x14ac:dyDescent="0.2">
      <c r="A4" s="55"/>
      <c r="B4" s="69" t="s">
        <v>18</v>
      </c>
      <c r="C4" s="85"/>
      <c r="D4" s="15">
        <v>29631.42</v>
      </c>
      <c r="E4" s="15">
        <v>29246.6</v>
      </c>
      <c r="F4" s="102"/>
      <c r="G4" s="102"/>
      <c r="H4" s="102"/>
      <c r="I4" s="102"/>
      <c r="J4" s="102"/>
      <c r="K4" s="102"/>
      <c r="L4" s="102"/>
      <c r="M4" s="102"/>
      <c r="N4" s="102"/>
      <c r="O4" s="103"/>
      <c r="P4" s="16"/>
    </row>
    <row r="5" spans="1:17" ht="20.100000000000001" customHeight="1" x14ac:dyDescent="0.2">
      <c r="A5" s="56" t="s">
        <v>19</v>
      </c>
      <c r="B5" s="70" t="s">
        <v>20</v>
      </c>
      <c r="C5" s="86"/>
      <c r="D5" s="20">
        <v>5629.99</v>
      </c>
      <c r="E5" s="20">
        <v>5556.85</v>
      </c>
      <c r="F5" s="104">
        <v>0</v>
      </c>
      <c r="G5" s="104">
        <v>0</v>
      </c>
      <c r="H5" s="104">
        <v>0</v>
      </c>
      <c r="I5" s="104">
        <v>0</v>
      </c>
      <c r="J5" s="104">
        <v>0</v>
      </c>
      <c r="K5" s="104">
        <v>0</v>
      </c>
      <c r="L5" s="104">
        <v>0</v>
      </c>
      <c r="M5" s="104">
        <v>0</v>
      </c>
      <c r="N5" s="104">
        <v>0</v>
      </c>
      <c r="O5" s="105">
        <v>0</v>
      </c>
      <c r="P5" s="16"/>
    </row>
    <row r="6" spans="1:17" ht="20.100000000000001" customHeight="1" thickBot="1" x14ac:dyDescent="0.25">
      <c r="A6" s="57"/>
      <c r="B6" s="70" t="s">
        <v>21</v>
      </c>
      <c r="C6" s="86"/>
      <c r="D6" s="20">
        <f t="shared" ref="D6:O6" si="0">D4-D5</f>
        <v>24001.43</v>
      </c>
      <c r="E6" s="20">
        <f t="shared" si="0"/>
        <v>23689.75</v>
      </c>
      <c r="F6" s="104">
        <f t="shared" si="0"/>
        <v>0</v>
      </c>
      <c r="G6" s="104">
        <f t="shared" si="0"/>
        <v>0</v>
      </c>
      <c r="H6" s="104">
        <f t="shared" si="0"/>
        <v>0</v>
      </c>
      <c r="I6" s="104">
        <f t="shared" si="0"/>
        <v>0</v>
      </c>
      <c r="J6" s="104">
        <f t="shared" si="0"/>
        <v>0</v>
      </c>
      <c r="K6" s="104">
        <f t="shared" si="0"/>
        <v>0</v>
      </c>
      <c r="L6" s="104">
        <f t="shared" si="0"/>
        <v>0</v>
      </c>
      <c r="M6" s="104">
        <f t="shared" si="0"/>
        <v>0</v>
      </c>
      <c r="N6" s="104">
        <f t="shared" si="0"/>
        <v>0</v>
      </c>
      <c r="O6" s="105">
        <f t="shared" si="0"/>
        <v>0</v>
      </c>
      <c r="P6" s="16"/>
    </row>
    <row r="7" spans="1:17" ht="20.100000000000001" customHeight="1" thickBot="1" x14ac:dyDescent="0.25">
      <c r="A7" s="58" t="s">
        <v>19</v>
      </c>
      <c r="B7" s="71" t="s">
        <v>22</v>
      </c>
      <c r="C7" s="87"/>
      <c r="D7" s="41"/>
      <c r="E7" s="41"/>
      <c r="F7" s="106"/>
      <c r="G7" s="106"/>
      <c r="H7" s="106"/>
      <c r="I7" s="106"/>
      <c r="J7" s="106"/>
      <c r="K7" s="106"/>
      <c r="L7" s="106"/>
      <c r="M7" s="106"/>
      <c r="N7" s="106"/>
      <c r="O7" s="107"/>
      <c r="P7" s="42"/>
      <c r="Q7" s="46"/>
    </row>
    <row r="8" spans="1:17" s="7" customFormat="1" ht="20.100000000000001" customHeight="1" thickBot="1" x14ac:dyDescent="0.25">
      <c r="A8" s="59"/>
      <c r="B8" s="72" t="s">
        <v>23</v>
      </c>
      <c r="C8" s="84"/>
      <c r="D8" s="40">
        <f>+D6</f>
        <v>24001.43</v>
      </c>
      <c r="E8" s="40">
        <f t="shared" ref="E8:O8" si="1">E6+D8</f>
        <v>47691.18</v>
      </c>
      <c r="F8" s="106">
        <f t="shared" si="1"/>
        <v>47691.18</v>
      </c>
      <c r="G8" s="106">
        <f t="shared" si="1"/>
        <v>47691.18</v>
      </c>
      <c r="H8" s="106">
        <f t="shared" si="1"/>
        <v>47691.18</v>
      </c>
      <c r="I8" s="106">
        <f t="shared" si="1"/>
        <v>47691.18</v>
      </c>
      <c r="J8" s="106">
        <f t="shared" si="1"/>
        <v>47691.18</v>
      </c>
      <c r="K8" s="106">
        <f t="shared" si="1"/>
        <v>47691.18</v>
      </c>
      <c r="L8" s="106">
        <f t="shared" si="1"/>
        <v>47691.18</v>
      </c>
      <c r="M8" s="106">
        <f t="shared" si="1"/>
        <v>47691.18</v>
      </c>
      <c r="N8" s="106">
        <f t="shared" si="1"/>
        <v>47691.18</v>
      </c>
      <c r="O8" s="107">
        <f t="shared" si="1"/>
        <v>47691.18</v>
      </c>
      <c r="P8" s="28"/>
      <c r="Q8" s="46"/>
    </row>
    <row r="9" spans="1:17" ht="20.100000000000001" customHeight="1" x14ac:dyDescent="0.2">
      <c r="A9" s="60"/>
      <c r="B9" s="82" t="s">
        <v>24</v>
      </c>
      <c r="C9" s="88">
        <v>0</v>
      </c>
      <c r="D9" s="48">
        <f>+D8*0.05*$C$9</f>
        <v>0</v>
      </c>
      <c r="E9" s="48">
        <f t="shared" ref="E9:O9" si="2">+E8*0.05*$C$9</f>
        <v>0</v>
      </c>
      <c r="F9" s="108">
        <f t="shared" si="2"/>
        <v>0</v>
      </c>
      <c r="G9" s="108">
        <f t="shared" si="2"/>
        <v>0</v>
      </c>
      <c r="H9" s="108">
        <f t="shared" si="2"/>
        <v>0</v>
      </c>
      <c r="I9" s="108">
        <f t="shared" si="2"/>
        <v>0</v>
      </c>
      <c r="J9" s="108">
        <f t="shared" si="2"/>
        <v>0</v>
      </c>
      <c r="K9" s="108">
        <f t="shared" si="2"/>
        <v>0</v>
      </c>
      <c r="L9" s="108">
        <f t="shared" si="2"/>
        <v>0</v>
      </c>
      <c r="M9" s="108">
        <f t="shared" si="2"/>
        <v>0</v>
      </c>
      <c r="N9" s="108">
        <f t="shared" si="2"/>
        <v>0</v>
      </c>
      <c r="O9" s="109">
        <f t="shared" si="2"/>
        <v>0</v>
      </c>
      <c r="P9" s="16"/>
    </row>
    <row r="10" spans="1:17" ht="20.100000000000001" customHeight="1" x14ac:dyDescent="0.2">
      <c r="A10" s="61"/>
      <c r="B10" s="83" t="s">
        <v>25</v>
      </c>
      <c r="C10" s="89">
        <v>0</v>
      </c>
      <c r="D10" s="31">
        <f>83.02*C10</f>
        <v>0</v>
      </c>
      <c r="E10" s="31">
        <f>166.02*C10</f>
        <v>0</v>
      </c>
      <c r="F10" s="110">
        <f>249.03*C10</f>
        <v>0</v>
      </c>
      <c r="G10" s="110">
        <f>332.04*C10</f>
        <v>0</v>
      </c>
      <c r="H10" s="110">
        <f>415.05*C10</f>
        <v>0</v>
      </c>
      <c r="I10" s="110">
        <f>498.06*C10</f>
        <v>0</v>
      </c>
      <c r="J10" s="110">
        <f>581.07*C10</f>
        <v>0</v>
      </c>
      <c r="K10" s="110">
        <f>664.08*C10</f>
        <v>0</v>
      </c>
      <c r="L10" s="110">
        <f>747.09*C10</f>
        <v>0</v>
      </c>
      <c r="M10" s="110">
        <f>830.1*C10</f>
        <v>0</v>
      </c>
      <c r="N10" s="110">
        <f>913.11*C10</f>
        <v>0</v>
      </c>
      <c r="O10" s="111">
        <f>996.23*C10</f>
        <v>0</v>
      </c>
      <c r="P10" s="16"/>
    </row>
    <row r="11" spans="1:17" ht="20.100000000000001" customHeight="1" x14ac:dyDescent="0.2">
      <c r="A11" s="61"/>
      <c r="B11" s="83" t="s">
        <v>26</v>
      </c>
      <c r="C11" s="89">
        <v>0</v>
      </c>
      <c r="D11" s="31">
        <f>83.02*C11</f>
        <v>0</v>
      </c>
      <c r="E11" s="31">
        <f>166.02*C11</f>
        <v>0</v>
      </c>
      <c r="F11" s="110">
        <f>249.03*C11</f>
        <v>0</v>
      </c>
      <c r="G11" s="110">
        <f>332.04*C11</f>
        <v>0</v>
      </c>
      <c r="H11" s="110">
        <f>415.05*C11</f>
        <v>0</v>
      </c>
      <c r="I11" s="110">
        <f>498.06*C11</f>
        <v>0</v>
      </c>
      <c r="J11" s="110">
        <f>581.07*C11</f>
        <v>0</v>
      </c>
      <c r="K11" s="110">
        <f>664.08*C11</f>
        <v>0</v>
      </c>
      <c r="L11" s="110">
        <f>747.09*C11</f>
        <v>0</v>
      </c>
      <c r="M11" s="110">
        <f>830.1*C11</f>
        <v>0</v>
      </c>
      <c r="N11" s="110">
        <f>913.11*C11</f>
        <v>0</v>
      </c>
      <c r="O11" s="111">
        <f>996.23*C11</f>
        <v>0</v>
      </c>
      <c r="P11" s="16"/>
    </row>
    <row r="12" spans="1:17" ht="20.100000000000001" customHeight="1" thickBot="1" x14ac:dyDescent="0.25">
      <c r="A12" s="101"/>
      <c r="B12" s="97" t="s">
        <v>47</v>
      </c>
      <c r="C12" s="98"/>
      <c r="D12" s="99">
        <v>0</v>
      </c>
      <c r="E12" s="99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3">
        <v>0</v>
      </c>
      <c r="P12" s="16"/>
    </row>
    <row r="13" spans="1:17" ht="20.100000000000001" customHeight="1" thickBot="1" x14ac:dyDescent="0.25">
      <c r="A13" s="62"/>
      <c r="B13" s="72" t="s">
        <v>27</v>
      </c>
      <c r="C13" s="84"/>
      <c r="D13" s="45">
        <f>+D8-D9-D10-D11-D12</f>
        <v>24001.43</v>
      </c>
      <c r="E13" s="45">
        <f t="shared" ref="E13:O13" si="3">+E8-E9-E10-E11-E12</f>
        <v>47691.18</v>
      </c>
      <c r="F13" s="114">
        <f t="shared" si="3"/>
        <v>47691.18</v>
      </c>
      <c r="G13" s="114">
        <f t="shared" si="3"/>
        <v>47691.18</v>
      </c>
      <c r="H13" s="114">
        <f t="shared" si="3"/>
        <v>47691.18</v>
      </c>
      <c r="I13" s="114">
        <f t="shared" si="3"/>
        <v>47691.18</v>
      </c>
      <c r="J13" s="114">
        <f t="shared" si="3"/>
        <v>47691.18</v>
      </c>
      <c r="K13" s="114">
        <f t="shared" si="3"/>
        <v>47691.18</v>
      </c>
      <c r="L13" s="114">
        <f t="shared" si="3"/>
        <v>47691.18</v>
      </c>
      <c r="M13" s="114">
        <f t="shared" si="3"/>
        <v>47691.18</v>
      </c>
      <c r="N13" s="114">
        <f t="shared" si="3"/>
        <v>47691.18</v>
      </c>
      <c r="O13" s="107">
        <f t="shared" si="3"/>
        <v>47691.18</v>
      </c>
      <c r="P13" s="16"/>
    </row>
    <row r="14" spans="1:17" ht="20.100000000000001" customHeight="1" x14ac:dyDescent="0.2">
      <c r="A14" s="63" t="s">
        <v>19</v>
      </c>
      <c r="B14" s="74" t="s">
        <v>28</v>
      </c>
      <c r="C14" s="90">
        <v>0</v>
      </c>
      <c r="D14" s="47">
        <f>3314.83*C14</f>
        <v>0</v>
      </c>
      <c r="E14" s="47">
        <f>6629.66*C14</f>
        <v>0</v>
      </c>
      <c r="F14" s="115">
        <f>9944.49*C14</f>
        <v>0</v>
      </c>
      <c r="G14" s="115">
        <f>13259.32*C14</f>
        <v>0</v>
      </c>
      <c r="H14" s="115">
        <f>16574.15*C14</f>
        <v>0</v>
      </c>
      <c r="I14" s="115">
        <f>19888.98*C14</f>
        <v>0</v>
      </c>
      <c r="J14" s="115">
        <f>23203.81*C14</f>
        <v>0</v>
      </c>
      <c r="K14" s="115">
        <f>26518.64*C14</f>
        <v>0</v>
      </c>
      <c r="L14" s="115">
        <f>29883.47*C14</f>
        <v>0</v>
      </c>
      <c r="M14" s="115">
        <f>33148.3*C14</f>
        <v>0</v>
      </c>
      <c r="N14" s="115">
        <f>36463.13*C14</f>
        <v>0</v>
      </c>
      <c r="O14" s="116">
        <f>39778*C14</f>
        <v>0</v>
      </c>
      <c r="P14" s="16"/>
    </row>
    <row r="15" spans="1:17" ht="20.100000000000001" customHeight="1" x14ac:dyDescent="0.2">
      <c r="A15" s="64"/>
      <c r="B15" s="75" t="s">
        <v>29</v>
      </c>
      <c r="C15" s="91">
        <v>0</v>
      </c>
      <c r="D15" s="53">
        <f>1657.41*C15</f>
        <v>0</v>
      </c>
      <c r="E15" s="53">
        <f>3314.82*C15</f>
        <v>0</v>
      </c>
      <c r="F15" s="104">
        <f>4972.23*C15</f>
        <v>0</v>
      </c>
      <c r="G15" s="104">
        <f>6629.64*C15</f>
        <v>0</v>
      </c>
      <c r="H15" s="104">
        <f>8287.05*C15</f>
        <v>0</v>
      </c>
      <c r="I15" s="104">
        <f>9944.46*C15</f>
        <v>0</v>
      </c>
      <c r="J15" s="104">
        <f>11601.87*C15</f>
        <v>0</v>
      </c>
      <c r="K15" s="104">
        <f>13259.28*C15</f>
        <v>0</v>
      </c>
      <c r="L15" s="104">
        <f>14916.69*C15</f>
        <v>0</v>
      </c>
      <c r="M15" s="104">
        <f>16574.1*C15</f>
        <v>0</v>
      </c>
      <c r="N15" s="104">
        <f>18231.51*C15</f>
        <v>0</v>
      </c>
      <c r="O15" s="111">
        <f>19889*C15</f>
        <v>0</v>
      </c>
      <c r="P15" s="16"/>
    </row>
    <row r="16" spans="1:17" ht="20.100000000000001" customHeight="1" x14ac:dyDescent="0.2">
      <c r="A16" s="64"/>
      <c r="B16" s="76" t="s">
        <v>30</v>
      </c>
      <c r="C16" s="92">
        <v>0</v>
      </c>
      <c r="D16" s="77">
        <f>1657.41*C16</f>
        <v>0</v>
      </c>
      <c r="E16" s="77">
        <f>3314.82*C16</f>
        <v>0</v>
      </c>
      <c r="F16" s="104">
        <f>4972.23*C16</f>
        <v>0</v>
      </c>
      <c r="G16" s="104">
        <f>6629.64*C16</f>
        <v>0</v>
      </c>
      <c r="H16" s="104">
        <f>8287.05*C16</f>
        <v>0</v>
      </c>
      <c r="I16" s="104">
        <f>9944.46*C16</f>
        <v>0</v>
      </c>
      <c r="J16" s="104">
        <f>11601.87*C16</f>
        <v>0</v>
      </c>
      <c r="K16" s="104">
        <f>13259.28*C16</f>
        <v>0</v>
      </c>
      <c r="L16" s="104">
        <f>14916.69*C16</f>
        <v>0</v>
      </c>
      <c r="M16" s="104">
        <f>16574.1*C16</f>
        <v>0</v>
      </c>
      <c r="N16" s="104">
        <f>18231.51*C16</f>
        <v>0</v>
      </c>
      <c r="O16" s="111">
        <f>19889*C16</f>
        <v>0</v>
      </c>
      <c r="P16" s="16"/>
    </row>
    <row r="17" spans="1:17" s="8" customFormat="1" ht="20.100000000000001" customHeight="1" x14ac:dyDescent="0.2">
      <c r="A17" s="64"/>
      <c r="B17" s="78" t="s">
        <v>31</v>
      </c>
      <c r="C17" s="93"/>
      <c r="D17" s="50">
        <v>3526.5</v>
      </c>
      <c r="E17" s="50">
        <v>7053</v>
      </c>
      <c r="F17" s="104">
        <v>10579.5</v>
      </c>
      <c r="G17" s="104">
        <v>14106</v>
      </c>
      <c r="H17" s="104">
        <v>17632.5</v>
      </c>
      <c r="I17" s="104">
        <v>21159</v>
      </c>
      <c r="J17" s="104">
        <v>24685.5</v>
      </c>
      <c r="K17" s="104">
        <v>28212</v>
      </c>
      <c r="L17" s="104">
        <v>31738.5</v>
      </c>
      <c r="M17" s="104">
        <v>35265</v>
      </c>
      <c r="N17" s="104">
        <v>38791.5</v>
      </c>
      <c r="O17" s="105">
        <v>42318</v>
      </c>
      <c r="P17" s="16"/>
    </row>
    <row r="18" spans="1:17" s="8" customFormat="1" ht="20.100000000000001" customHeight="1" thickBot="1" x14ac:dyDescent="0.25">
      <c r="A18" s="65"/>
      <c r="B18" s="79" t="s">
        <v>32</v>
      </c>
      <c r="C18" s="94"/>
      <c r="D18" s="80">
        <v>16927.2</v>
      </c>
      <c r="E18" s="80">
        <v>33854.400000000001</v>
      </c>
      <c r="F18" s="117">
        <v>50781.599999999999</v>
      </c>
      <c r="G18" s="117">
        <v>67708.800000000003</v>
      </c>
      <c r="H18" s="117">
        <v>84636</v>
      </c>
      <c r="I18" s="117">
        <v>101563.2</v>
      </c>
      <c r="J18" s="117">
        <v>118490.4</v>
      </c>
      <c r="K18" s="117">
        <v>135417.60000000001</v>
      </c>
      <c r="L18" s="117">
        <v>152344.79999999999</v>
      </c>
      <c r="M18" s="117">
        <v>169272</v>
      </c>
      <c r="N18" s="117">
        <v>186199.2</v>
      </c>
      <c r="O18" s="111">
        <v>203126.39999999999</v>
      </c>
      <c r="P18" s="16"/>
    </row>
    <row r="19" spans="1:17" s="1" customFormat="1" ht="20.100000000000001" customHeight="1" thickBot="1" x14ac:dyDescent="0.25">
      <c r="A19" s="59"/>
      <c r="B19" s="72" t="s">
        <v>33</v>
      </c>
      <c r="C19" s="84"/>
      <c r="D19" s="40">
        <f t="shared" ref="D19:O19" si="4">SUM(D14:D18)</f>
        <v>20453.7</v>
      </c>
      <c r="E19" s="40">
        <f t="shared" si="4"/>
        <v>40907.4</v>
      </c>
      <c r="F19" s="106">
        <f t="shared" si="4"/>
        <v>61361.1</v>
      </c>
      <c r="G19" s="106">
        <f t="shared" si="4"/>
        <v>81814.8</v>
      </c>
      <c r="H19" s="106">
        <f t="shared" si="4"/>
        <v>102268.5</v>
      </c>
      <c r="I19" s="106">
        <f t="shared" si="4"/>
        <v>122722.2</v>
      </c>
      <c r="J19" s="106">
        <f t="shared" si="4"/>
        <v>143175.9</v>
      </c>
      <c r="K19" s="106">
        <f t="shared" si="4"/>
        <v>163629.6</v>
      </c>
      <c r="L19" s="106">
        <f t="shared" si="4"/>
        <v>184083.3</v>
      </c>
      <c r="M19" s="106">
        <f t="shared" si="4"/>
        <v>204537</v>
      </c>
      <c r="N19" s="106">
        <f t="shared" si="4"/>
        <v>224990.7</v>
      </c>
      <c r="O19" s="107">
        <f t="shared" si="4"/>
        <v>245444.4</v>
      </c>
      <c r="P19" s="28"/>
    </row>
    <row r="20" spans="1:17" s="7" customFormat="1" ht="20.100000000000001" customHeight="1" thickBot="1" x14ac:dyDescent="0.25">
      <c r="A20" s="59"/>
      <c r="B20" s="72" t="s">
        <v>34</v>
      </c>
      <c r="C20" s="84"/>
      <c r="D20" s="40">
        <f t="shared" ref="D20:O20" si="5">+D13-D19</f>
        <v>3547.7299999999996</v>
      </c>
      <c r="E20" s="40">
        <f t="shared" si="5"/>
        <v>6783.7799999999988</v>
      </c>
      <c r="F20" s="106">
        <f t="shared" si="5"/>
        <v>-13669.919999999998</v>
      </c>
      <c r="G20" s="106">
        <f t="shared" si="5"/>
        <v>-34123.620000000003</v>
      </c>
      <c r="H20" s="106">
        <f t="shared" si="5"/>
        <v>-54577.32</v>
      </c>
      <c r="I20" s="106">
        <f t="shared" si="5"/>
        <v>-75031.01999999999</v>
      </c>
      <c r="J20" s="106">
        <f t="shared" si="5"/>
        <v>-95484.72</v>
      </c>
      <c r="K20" s="106">
        <f t="shared" si="5"/>
        <v>-115938.42000000001</v>
      </c>
      <c r="L20" s="106">
        <f t="shared" si="5"/>
        <v>-136392.12</v>
      </c>
      <c r="M20" s="106">
        <f t="shared" si="5"/>
        <v>-156845.82</v>
      </c>
      <c r="N20" s="106">
        <f t="shared" si="5"/>
        <v>-177299.52000000002</v>
      </c>
      <c r="O20" s="107">
        <f t="shared" si="5"/>
        <v>-197753.22</v>
      </c>
      <c r="P20" s="28" t="s">
        <v>3</v>
      </c>
    </row>
    <row r="21" spans="1:17" ht="20.100000000000001" customHeight="1" thickBot="1" x14ac:dyDescent="0.25">
      <c r="A21" s="66"/>
      <c r="B21" s="71" t="s">
        <v>35</v>
      </c>
      <c r="C21" s="87"/>
      <c r="D21" s="41">
        <f>F36+((D20-D36)*G36)</f>
        <v>590.97789999999986</v>
      </c>
      <c r="E21" s="41">
        <f>((E20-D48)*G48)+F48</f>
        <v>1110.2693999999997</v>
      </c>
      <c r="F21" s="106"/>
      <c r="G21" s="106"/>
      <c r="H21" s="106"/>
      <c r="I21" s="106"/>
      <c r="J21" s="106"/>
      <c r="K21" s="106"/>
      <c r="L21" s="106"/>
      <c r="M21" s="106"/>
      <c r="N21" s="106"/>
      <c r="O21" s="107"/>
      <c r="P21" s="16"/>
      <c r="Q21" s="46"/>
    </row>
    <row r="22" spans="1:17" ht="20.100000000000001" customHeight="1" thickBot="1" x14ac:dyDescent="0.25">
      <c r="A22" s="67" t="s">
        <v>19</v>
      </c>
      <c r="B22" s="73" t="s">
        <v>36</v>
      </c>
      <c r="C22" s="95"/>
      <c r="D22" s="29"/>
      <c r="E22" s="30"/>
      <c r="F22" s="115">
        <f>+D7+E7</f>
        <v>0</v>
      </c>
      <c r="G22" s="115">
        <f>+D7+E7+F7</f>
        <v>0</v>
      </c>
      <c r="H22" s="115">
        <f>+D7+E7+F7+G7</f>
        <v>0</v>
      </c>
      <c r="I22" s="115">
        <f>+D7+E7+F7+G7+H7</f>
        <v>0</v>
      </c>
      <c r="J22" s="115">
        <f>+D7+E7+F7+G7+H7+I7</f>
        <v>0</v>
      </c>
      <c r="K22" s="115">
        <f>+D7+E7+F7+G7+H7+I7+J7</f>
        <v>0</v>
      </c>
      <c r="L22" s="115">
        <f>+D7+E7+F7+G7+H7+I7+J7+K7</f>
        <v>0</v>
      </c>
      <c r="M22" s="115">
        <f>+D7+E7+F7+G7+H7+I7+J7+K7+L7</f>
        <v>0</v>
      </c>
      <c r="N22" s="115">
        <f>+D7+E7+F7+G7+H7+I7+J7+K7+L7+M7</f>
        <v>0</v>
      </c>
      <c r="O22" s="116">
        <f>+D7+E7+F7+G7+H7+I7+J7+K7+L7+M7+N7</f>
        <v>0</v>
      </c>
      <c r="P22" s="16"/>
      <c r="Q22" s="46"/>
    </row>
    <row r="23" spans="1:17" s="7" customFormat="1" ht="20.100000000000001" customHeight="1" thickBot="1" x14ac:dyDescent="0.25">
      <c r="A23" s="68"/>
      <c r="B23" s="72" t="s">
        <v>37</v>
      </c>
      <c r="C23" s="84"/>
      <c r="D23" s="45">
        <f t="shared" ref="D23:O23" si="6">+D21-D22</f>
        <v>590.97789999999986</v>
      </c>
      <c r="E23" s="45">
        <f t="shared" si="6"/>
        <v>1110.2693999999997</v>
      </c>
      <c r="F23" s="114">
        <f t="shared" si="6"/>
        <v>0</v>
      </c>
      <c r="G23" s="114">
        <f t="shared" si="6"/>
        <v>0</v>
      </c>
      <c r="H23" s="114">
        <f t="shared" si="6"/>
        <v>0</v>
      </c>
      <c r="I23" s="114">
        <f t="shared" si="6"/>
        <v>0</v>
      </c>
      <c r="J23" s="114">
        <f t="shared" si="6"/>
        <v>0</v>
      </c>
      <c r="K23" s="114">
        <f t="shared" si="6"/>
        <v>0</v>
      </c>
      <c r="L23" s="114">
        <f t="shared" si="6"/>
        <v>0</v>
      </c>
      <c r="M23" s="114">
        <f t="shared" si="6"/>
        <v>0</v>
      </c>
      <c r="N23" s="114">
        <f t="shared" si="6"/>
        <v>0</v>
      </c>
      <c r="O23" s="107">
        <f t="shared" si="6"/>
        <v>0</v>
      </c>
      <c r="P23" s="28"/>
    </row>
    <row r="24" spans="1:17" s="1" customFormat="1" ht="16.5" customHeight="1" x14ac:dyDescent="0.2">
      <c r="A24" s="37"/>
      <c r="B24" s="36"/>
      <c r="C24" s="96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28"/>
    </row>
    <row r="25" spans="1:17" s="1" customFormat="1" ht="16.5" customHeight="1" x14ac:dyDescent="0.2">
      <c r="A25" s="37"/>
      <c r="B25" s="36"/>
      <c r="C25" s="36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28"/>
    </row>
    <row r="26" spans="1:17" s="1" customFormat="1" ht="16.5" customHeight="1" x14ac:dyDescent="0.25">
      <c r="A26" s="37"/>
      <c r="B26" s="118" t="s">
        <v>48</v>
      </c>
      <c r="C26" s="118"/>
      <c r="D26" s="100"/>
      <c r="E26" s="119"/>
      <c r="F26" s="119"/>
      <c r="H26" s="52"/>
      <c r="I26" s="119"/>
      <c r="J26" s="119"/>
      <c r="K26" s="119"/>
      <c r="L26" s="119"/>
      <c r="M26" s="52"/>
      <c r="N26" s="119"/>
      <c r="O26" s="119"/>
      <c r="P26" s="28"/>
    </row>
    <row r="27" spans="1:17" s="1" customFormat="1" ht="16.5" customHeight="1" x14ac:dyDescent="0.2">
      <c r="A27" s="37"/>
      <c r="B27" s="120" t="s">
        <v>49</v>
      </c>
      <c r="C27" s="120"/>
      <c r="D27" s="121"/>
      <c r="E27" s="121"/>
      <c r="F27" s="121"/>
      <c r="G27" s="119"/>
      <c r="H27" s="119"/>
      <c r="I27" s="119"/>
      <c r="J27" s="119"/>
      <c r="K27" s="119"/>
      <c r="L27" s="119"/>
      <c r="M27" s="119"/>
      <c r="N27" s="119"/>
      <c r="O27" s="119"/>
      <c r="P27" s="28"/>
    </row>
    <row r="28" spans="1:17" s="8" customFormat="1" ht="14.1" customHeight="1" thickBot="1" x14ac:dyDescent="0.25"/>
    <row r="29" spans="1:17" ht="14.1" customHeight="1" thickBot="1" x14ac:dyDescent="0.25">
      <c r="B29" s="43" t="s">
        <v>35</v>
      </c>
      <c r="C29" s="81"/>
      <c r="D29" s="10" t="s">
        <v>38</v>
      </c>
      <c r="E29" s="44">
        <v>1</v>
      </c>
    </row>
    <row r="30" spans="1:17" ht="14.1" customHeight="1" thickBot="1" x14ac:dyDescent="0.25">
      <c r="B30" s="39"/>
      <c r="C30" s="39"/>
      <c r="D30" s="7"/>
      <c r="E30" s="7"/>
      <c r="F30" s="7"/>
      <c r="G30" s="7"/>
    </row>
    <row r="31" spans="1:17" ht="14.1" customHeight="1" x14ac:dyDescent="0.2">
      <c r="D31" s="17" t="s">
        <v>39</v>
      </c>
      <c r="E31" s="18"/>
      <c r="F31" s="19" t="s">
        <v>52</v>
      </c>
      <c r="G31" s="19" t="s">
        <v>53</v>
      </c>
      <c r="K31" s="51"/>
    </row>
    <row r="32" spans="1:17" ht="14.1" customHeight="1" thickBot="1" x14ac:dyDescent="0.25">
      <c r="D32" s="21" t="s">
        <v>50</v>
      </c>
      <c r="E32" s="22" t="s">
        <v>51</v>
      </c>
      <c r="F32" s="23" t="s">
        <v>44</v>
      </c>
      <c r="G32" s="23" t="s">
        <v>45</v>
      </c>
    </row>
    <row r="33" spans="2:8" ht="14.1" customHeight="1" x14ac:dyDescent="0.2">
      <c r="D33" s="24">
        <v>0</v>
      </c>
      <c r="E33" s="25">
        <f>10000/12*E29</f>
        <v>833.33333333333337</v>
      </c>
      <c r="F33" s="26">
        <v>0</v>
      </c>
      <c r="G33" s="27">
        <v>0.09</v>
      </c>
    </row>
    <row r="34" spans="2:8" ht="14.1" customHeight="1" x14ac:dyDescent="0.2">
      <c r="D34" s="24">
        <f t="shared" ref="D34:D39" si="7">+E33</f>
        <v>833.33333333333337</v>
      </c>
      <c r="E34" s="25">
        <f>20000/12*E29</f>
        <v>1666.6666666666667</v>
      </c>
      <c r="F34" s="26">
        <f>900/12*E29</f>
        <v>75</v>
      </c>
      <c r="G34" s="27">
        <v>0.14000000000000001</v>
      </c>
    </row>
    <row r="35" spans="2:8" ht="14.1" customHeight="1" x14ac:dyDescent="0.2">
      <c r="D35" s="24">
        <f t="shared" si="7"/>
        <v>1666.6666666666667</v>
      </c>
      <c r="E35" s="25">
        <f>30000/12*E29</f>
        <v>2500</v>
      </c>
      <c r="F35" s="26">
        <f>2300/12*E29</f>
        <v>191.66666666666666</v>
      </c>
      <c r="G35" s="27">
        <v>0.19</v>
      </c>
    </row>
    <row r="36" spans="2:8" ht="14.1" customHeight="1" x14ac:dyDescent="0.2">
      <c r="D36" s="24">
        <f t="shared" si="7"/>
        <v>2500</v>
      </c>
      <c r="E36" s="25">
        <f>60000/12*E29</f>
        <v>5000</v>
      </c>
      <c r="F36" s="26">
        <f>4200/12*E29</f>
        <v>350</v>
      </c>
      <c r="G36" s="27">
        <v>0.23</v>
      </c>
    </row>
    <row r="37" spans="2:8" ht="14.1" customHeight="1" x14ac:dyDescent="0.2">
      <c r="D37" s="24">
        <f t="shared" si="7"/>
        <v>5000</v>
      </c>
      <c r="E37" s="25">
        <f>90000/12*E29</f>
        <v>7500</v>
      </c>
      <c r="F37" s="26">
        <f>11100/12*E29</f>
        <v>925</v>
      </c>
      <c r="G37" s="27">
        <v>0.27</v>
      </c>
    </row>
    <row r="38" spans="2:8" ht="14.1" customHeight="1" x14ac:dyDescent="0.2">
      <c r="D38" s="24">
        <f t="shared" si="7"/>
        <v>7500</v>
      </c>
      <c r="E38" s="25">
        <f>120000/12*E29</f>
        <v>10000</v>
      </c>
      <c r="F38" s="26">
        <f>19200/12*E29</f>
        <v>1600</v>
      </c>
      <c r="G38" s="27">
        <v>0.31</v>
      </c>
    </row>
    <row r="39" spans="2:8" ht="14.1" customHeight="1" thickBot="1" x14ac:dyDescent="0.25">
      <c r="D39" s="32">
        <f t="shared" si="7"/>
        <v>10000</v>
      </c>
      <c r="E39" s="33" t="s">
        <v>46</v>
      </c>
      <c r="F39" s="34">
        <f>28500/12*E29</f>
        <v>2375</v>
      </c>
      <c r="G39" s="35">
        <v>0.35</v>
      </c>
    </row>
    <row r="40" spans="2:8" ht="14.1" customHeight="1" thickBot="1" x14ac:dyDescent="0.25"/>
    <row r="41" spans="2:8" ht="20.100000000000001" customHeight="1" thickBot="1" x14ac:dyDescent="0.25">
      <c r="B41" s="43" t="s">
        <v>35</v>
      </c>
      <c r="C41" s="81"/>
      <c r="D41" s="10" t="s">
        <v>38</v>
      </c>
      <c r="E41" s="44">
        <v>2</v>
      </c>
    </row>
    <row r="42" spans="2:8" ht="20.100000000000001" customHeight="1" thickBot="1" x14ac:dyDescent="0.25">
      <c r="D42" s="7"/>
      <c r="E42" s="7"/>
      <c r="F42" s="7"/>
      <c r="G42" s="7"/>
      <c r="H42" s="46"/>
    </row>
    <row r="43" spans="2:8" ht="20.100000000000001" customHeight="1" x14ac:dyDescent="0.2">
      <c r="B43" s="39"/>
      <c r="C43" s="39"/>
      <c r="D43" s="17" t="s">
        <v>39</v>
      </c>
      <c r="E43" s="18"/>
      <c r="F43" s="19" t="s">
        <v>40</v>
      </c>
      <c r="G43" s="19" t="s">
        <v>41</v>
      </c>
    </row>
    <row r="44" spans="2:8" ht="20.100000000000001" customHeight="1" thickBot="1" x14ac:dyDescent="0.25">
      <c r="D44" s="21" t="s">
        <v>42</v>
      </c>
      <c r="E44" s="22" t="s">
        <v>43</v>
      </c>
      <c r="F44" s="23" t="s">
        <v>44</v>
      </c>
      <c r="G44" s="23" t="s">
        <v>45</v>
      </c>
    </row>
    <row r="45" spans="2:8" ht="20.100000000000001" customHeight="1" x14ac:dyDescent="0.2">
      <c r="D45" s="24">
        <v>0</v>
      </c>
      <c r="E45" s="25">
        <f>10000/12*E41</f>
        <v>1666.6666666666667</v>
      </c>
      <c r="F45" s="26">
        <v>0</v>
      </c>
      <c r="G45" s="27">
        <v>0.09</v>
      </c>
    </row>
    <row r="46" spans="2:8" ht="20.100000000000001" customHeight="1" x14ac:dyDescent="0.2">
      <c r="D46" s="24">
        <f t="shared" ref="D46:D51" si="8">+E45</f>
        <v>1666.6666666666667</v>
      </c>
      <c r="E46" s="25">
        <f>20000/12*E41</f>
        <v>3333.3333333333335</v>
      </c>
      <c r="F46" s="26">
        <f>900/12*E41</f>
        <v>150</v>
      </c>
      <c r="G46" s="27">
        <v>0.14000000000000001</v>
      </c>
    </row>
    <row r="47" spans="2:8" ht="20.100000000000001" customHeight="1" x14ac:dyDescent="0.2">
      <c r="D47" s="24">
        <f t="shared" si="8"/>
        <v>3333.3333333333335</v>
      </c>
      <c r="E47" s="25">
        <f>30000/12*E41</f>
        <v>5000</v>
      </c>
      <c r="F47" s="26">
        <f>2300/12*E41</f>
        <v>383.33333333333331</v>
      </c>
      <c r="G47" s="27">
        <v>0.19</v>
      </c>
    </row>
    <row r="48" spans="2:8" ht="20.100000000000001" customHeight="1" x14ac:dyDescent="0.2">
      <c r="D48" s="24">
        <f t="shared" si="8"/>
        <v>5000</v>
      </c>
      <c r="E48" s="25">
        <f>60000/12*E41</f>
        <v>10000</v>
      </c>
      <c r="F48" s="26">
        <f>4200/12*E41</f>
        <v>700</v>
      </c>
      <c r="G48" s="27">
        <v>0.23</v>
      </c>
    </row>
    <row r="49" spans="4:7" ht="20.100000000000001" customHeight="1" x14ac:dyDescent="0.2">
      <c r="D49" s="24">
        <f t="shared" si="8"/>
        <v>10000</v>
      </c>
      <c r="E49" s="25">
        <f>90000/12*E41</f>
        <v>15000</v>
      </c>
      <c r="F49" s="26">
        <f>11100/12*E41</f>
        <v>1850</v>
      </c>
      <c r="G49" s="27">
        <v>0.27</v>
      </c>
    </row>
    <row r="50" spans="4:7" ht="20.100000000000001" customHeight="1" x14ac:dyDescent="0.2">
      <c r="D50" s="24">
        <f t="shared" si="8"/>
        <v>15000</v>
      </c>
      <c r="E50" s="25">
        <f>120000/12*E41</f>
        <v>20000</v>
      </c>
      <c r="F50" s="26">
        <f>19200/12*E41</f>
        <v>3200</v>
      </c>
      <c r="G50" s="27">
        <v>0.31</v>
      </c>
    </row>
    <row r="51" spans="4:7" ht="20.100000000000001" customHeight="1" thickBot="1" x14ac:dyDescent="0.25">
      <c r="D51" s="32">
        <f t="shared" si="8"/>
        <v>20000</v>
      </c>
      <c r="E51" s="33" t="s">
        <v>46</v>
      </c>
      <c r="F51" s="34">
        <f>28500/12*E41</f>
        <v>4750</v>
      </c>
      <c r="G51" s="35">
        <v>0.35</v>
      </c>
    </row>
  </sheetData>
  <phoneticPr fontId="0" type="noConversion"/>
  <pageMargins left="0" right="0" top="0" bottom="0" header="0" footer="0"/>
  <pageSetup paperSize="9" scale="8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Ret. 4ta. Ganancias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SIU</cp:lastModifiedBy>
  <cp:revision/>
  <dcterms:created xsi:type="dcterms:W3CDTF">1996-11-27T10:00:04Z</dcterms:created>
  <dcterms:modified xsi:type="dcterms:W3CDTF">2016-03-17T20:53:33Z</dcterms:modified>
</cp:coreProperties>
</file>